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9180" activeTab="0"/>
  </bookViews>
  <sheets>
    <sheet name="export_costs" sheetId="1" r:id="rId1"/>
    <sheet name="conversions" sheetId="2" r:id="rId2"/>
  </sheets>
  <definedNames/>
  <calcPr fullCalcOnLoad="1"/>
</workbook>
</file>

<file path=xl/sharedStrings.xml><?xml version="1.0" encoding="utf-8"?>
<sst xmlns="http://schemas.openxmlformats.org/spreadsheetml/2006/main" count="291" uniqueCount="114">
  <si>
    <t>Watershed =</t>
  </si>
  <si>
    <t>gauged area</t>
  </si>
  <si>
    <t xml:space="preserve">        Original</t>
  </si>
  <si>
    <t xml:space="preserve">         Export</t>
  </si>
  <si>
    <t>Conversions</t>
  </si>
  <si>
    <t xml:space="preserve">    Modified</t>
  </si>
  <si>
    <t>Changes in Export</t>
  </si>
  <si>
    <t xml:space="preserve">           Economic Values</t>
  </si>
  <si>
    <t>ha</t>
  </si>
  <si>
    <t>$</t>
  </si>
  <si>
    <t>$ y-1</t>
  </si>
  <si>
    <t>y</t>
  </si>
  <si>
    <t>Landuse</t>
  </si>
  <si>
    <t>area</t>
  </si>
  <si>
    <t>%</t>
  </si>
  <si>
    <t>kgN y-1</t>
  </si>
  <si>
    <t>kgP y-1</t>
  </si>
  <si>
    <t>to forest</t>
  </si>
  <si>
    <t>to ag</t>
  </si>
  <si>
    <t>to urban</t>
  </si>
  <si>
    <t>to wetland</t>
  </si>
  <si>
    <t>to feedlots</t>
  </si>
  <si>
    <t>net econ value</t>
  </si>
  <si>
    <t>net env value</t>
  </si>
  <si>
    <t>env payback</t>
  </si>
  <si>
    <t>forest</t>
  </si>
  <si>
    <t>a</t>
  </si>
  <si>
    <t>agriculture</t>
  </si>
  <si>
    <t>urban</t>
  </si>
  <si>
    <t>wetland</t>
  </si>
  <si>
    <t>feedlots</t>
  </si>
  <si>
    <t>total</t>
  </si>
  <si>
    <t>km</t>
  </si>
  <si>
    <t>stream buffer</t>
  </si>
  <si>
    <t>length</t>
  </si>
  <si>
    <t>to forested</t>
  </si>
  <si>
    <t>to wetlands</t>
  </si>
  <si>
    <t>to bare</t>
  </si>
  <si>
    <t>forested</t>
  </si>
  <si>
    <t>wetlands</t>
  </si>
  <si>
    <t>bare</t>
  </si>
  <si>
    <t>total streams</t>
  </si>
  <si>
    <t>sewage</t>
  </si>
  <si>
    <t># people</t>
  </si>
  <si>
    <t>to septic</t>
  </si>
  <si>
    <t>to second.</t>
  </si>
  <si>
    <t>to tertiary</t>
  </si>
  <si>
    <t>net econ value $</t>
  </si>
  <si>
    <t>net env value $ y-1</t>
  </si>
  <si>
    <t>env payback, y</t>
  </si>
  <si>
    <t>septic</t>
  </si>
  <si>
    <t>secondary</t>
  </si>
  <si>
    <t>tertiary</t>
  </si>
  <si>
    <t>GRAND TOTAL</t>
  </si>
  <si>
    <t>net</t>
  </si>
  <si>
    <t xml:space="preserve">        net changes</t>
  </si>
  <si>
    <t>economic</t>
  </si>
  <si>
    <t>environmental</t>
  </si>
  <si>
    <t>commercial</t>
  </si>
  <si>
    <t xml:space="preserve">      Yield Coefficients</t>
  </si>
  <si>
    <t>conversion</t>
  </si>
  <si>
    <t>value</t>
  </si>
  <si>
    <t>units</t>
  </si>
  <si>
    <t>payback</t>
  </si>
  <si>
    <t>kgN ha-1 y-1</t>
  </si>
  <si>
    <t>kgP ha-1 y-1</t>
  </si>
  <si>
    <t>land use</t>
  </si>
  <si>
    <t>forest to agriculture</t>
  </si>
  <si>
    <t>$ ha-1</t>
  </si>
  <si>
    <t>$ ha-1 y-1</t>
  </si>
  <si>
    <t>forest to urban</t>
  </si>
  <si>
    <t>forest to wetland</t>
  </si>
  <si>
    <t>forest to feedlots</t>
  </si>
  <si>
    <t>agriculture to forest</t>
  </si>
  <si>
    <t>agriculture to urban</t>
  </si>
  <si>
    <t>agriculture to wetland</t>
  </si>
  <si>
    <t>agriculture to feedlots</t>
  </si>
  <si>
    <t xml:space="preserve">        Stream Effects</t>
  </si>
  <si>
    <t>urban to forest</t>
  </si>
  <si>
    <t>kgN km-1 y-1</t>
  </si>
  <si>
    <t>kgP km-1 y-1</t>
  </si>
  <si>
    <t>urban to agriculture</t>
  </si>
  <si>
    <t>$ km-1</t>
  </si>
  <si>
    <t>$ km-1 y-1</t>
  </si>
  <si>
    <t>urban to wetland</t>
  </si>
  <si>
    <t>urban to feedlots</t>
  </si>
  <si>
    <t>wetlands to forest</t>
  </si>
  <si>
    <t>wetlands to agriculture</t>
  </si>
  <si>
    <t>wetlands to urban</t>
  </si>
  <si>
    <t xml:space="preserve">    Human Waste Effects</t>
  </si>
  <si>
    <t>wetlands to feedlots</t>
  </si>
  <si>
    <t>kgN per-1 y-1</t>
  </si>
  <si>
    <t>kgP per-1 y-1</t>
  </si>
  <si>
    <t>feedlots to forest</t>
  </si>
  <si>
    <t>$ person-1</t>
  </si>
  <si>
    <t>$ per-1 y-1</t>
  </si>
  <si>
    <t>feedlots to agriculture</t>
  </si>
  <si>
    <t>feedlots to urban</t>
  </si>
  <si>
    <t>feedlots to wetland</t>
  </si>
  <si>
    <t>forested to wetlands</t>
  </si>
  <si>
    <t>kg ha-1 y-1</t>
  </si>
  <si>
    <t>forested to bare</t>
  </si>
  <si>
    <t>wetlands to forested</t>
  </si>
  <si>
    <t>wetlands to bare</t>
  </si>
  <si>
    <t>bare to forested</t>
  </si>
  <si>
    <t>bare to wetlands</t>
  </si>
  <si>
    <t>septic to secondary</t>
  </si>
  <si>
    <t>kg per-1 y-1</t>
  </si>
  <si>
    <t>septic to tertiary</t>
  </si>
  <si>
    <t>secondary to septic</t>
  </si>
  <si>
    <t>secondary to tertiary</t>
  </si>
  <si>
    <t>tertiary to septic</t>
  </si>
  <si>
    <t>tertiary to secondary</t>
  </si>
  <si>
    <t xml:space="preserve">   percent changes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</si>
</sst>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6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14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0" fillId="2" borderId="0" applyFont="0" applyFill="0" applyBorder="0" applyAlignment="0" applyProtection="0"/>
  </cellStyleXfs>
  <cellXfs count="39">
    <xf numFmtId="0" fontId="0" fillId="2" borderId="0" xfId="0" applyAlignment="1">
      <alignment/>
    </xf>
    <xf numFmtId="164" fontId="0" fillId="2" borderId="0" xfId="0" applyAlignment="1">
      <alignment/>
    </xf>
    <xf numFmtId="1" fontId="0" fillId="2" borderId="0" xfId="0" applyAlignment="1">
      <alignment/>
    </xf>
    <xf numFmtId="0" fontId="3" fillId="2" borderId="0" xfId="0" applyAlignment="1">
      <alignment/>
    </xf>
    <xf numFmtId="0" fontId="0" fillId="2" borderId="0" xfId="0" applyAlignment="1">
      <alignment horizontal="right"/>
    </xf>
    <xf numFmtId="0" fontId="5" fillId="2" borderId="0" xfId="0" applyAlignment="1">
      <alignment horizontal="right"/>
    </xf>
    <xf numFmtId="0" fontId="0" fillId="3" borderId="0" xfId="0" applyAlignment="1">
      <alignment/>
    </xf>
    <xf numFmtId="5" fontId="0" fillId="2" borderId="0" xfId="0" applyAlignment="1">
      <alignment/>
    </xf>
    <xf numFmtId="2" fontId="0" fillId="2" borderId="0" xfId="0" applyAlignment="1">
      <alignment/>
    </xf>
    <xf numFmtId="0" fontId="4" fillId="2" borderId="0" xfId="0" applyAlignment="1">
      <alignment horizontal="right"/>
    </xf>
    <xf numFmtId="165" fontId="0" fillId="2" borderId="0" xfId="0" applyAlignment="1">
      <alignment/>
    </xf>
    <xf numFmtId="0" fontId="6" fillId="2" borderId="0" xfId="0" applyAlignment="1">
      <alignment horizontal="right"/>
    </xf>
    <xf numFmtId="166" fontId="0" fillId="2" borderId="0" xfId="0" applyAlignment="1">
      <alignment/>
    </xf>
    <xf numFmtId="0" fontId="0" fillId="2" borderId="0" xfId="0" applyAlignment="1" applyProtection="1">
      <alignment/>
      <protection locked="0"/>
    </xf>
    <xf numFmtId="0" fontId="0" fillId="2" borderId="1" xfId="0" applyBorder="1" applyAlignment="1">
      <alignment/>
    </xf>
    <xf numFmtId="164" fontId="0" fillId="2" borderId="1" xfId="0" applyBorder="1" applyAlignment="1">
      <alignment/>
    </xf>
    <xf numFmtId="0" fontId="0" fillId="2" borderId="1" xfId="0" applyBorder="1" applyAlignment="1" applyProtection="1">
      <alignment/>
      <protection locked="0"/>
    </xf>
    <xf numFmtId="1" fontId="0" fillId="2" borderId="1" xfId="0" applyBorder="1" applyAlignment="1">
      <alignment/>
    </xf>
    <xf numFmtId="5" fontId="0" fillId="2" borderId="1" xfId="0" applyBorder="1" applyAlignment="1">
      <alignment/>
    </xf>
    <xf numFmtId="0" fontId="0" fillId="2" borderId="2" xfId="0" applyBorder="1" applyAlignment="1">
      <alignment/>
    </xf>
    <xf numFmtId="164" fontId="0" fillId="2" borderId="2" xfId="0" applyBorder="1" applyAlignment="1">
      <alignment/>
    </xf>
    <xf numFmtId="0" fontId="0" fillId="2" borderId="2" xfId="0" applyBorder="1" applyAlignment="1" applyProtection="1">
      <alignment/>
      <protection locked="0"/>
    </xf>
    <xf numFmtId="0" fontId="0" fillId="3" borderId="2" xfId="0" applyBorder="1" applyAlignment="1">
      <alignment/>
    </xf>
    <xf numFmtId="5" fontId="0" fillId="2" borderId="2" xfId="0" applyBorder="1" applyAlignment="1">
      <alignment/>
    </xf>
    <xf numFmtId="0" fontId="0" fillId="3" borderId="1" xfId="0" applyBorder="1" applyAlignment="1">
      <alignment/>
    </xf>
    <xf numFmtId="1" fontId="0" fillId="2" borderId="2" xfId="0" applyBorder="1" applyAlignment="1">
      <alignment/>
    </xf>
    <xf numFmtId="1" fontId="7" fillId="2" borderId="0" xfId="0" applyFont="1" applyAlignment="1">
      <alignment/>
    </xf>
    <xf numFmtId="164" fontId="7" fillId="2" borderId="3" xfId="0" applyFont="1" applyBorder="1" applyAlignment="1">
      <alignment/>
    </xf>
    <xf numFmtId="164" fontId="7" fillId="2" borderId="4" xfId="0" applyFont="1" applyBorder="1" applyAlignment="1">
      <alignment/>
    </xf>
    <xf numFmtId="0" fontId="7" fillId="2" borderId="5" xfId="0" applyFont="1" applyBorder="1" applyAlignment="1">
      <alignment/>
    </xf>
    <xf numFmtId="0" fontId="7" fillId="2" borderId="6" xfId="0" applyFont="1" applyBorder="1" applyAlignment="1">
      <alignment/>
    </xf>
    <xf numFmtId="0" fontId="7" fillId="2" borderId="0" xfId="0" applyFont="1" applyAlignment="1">
      <alignment/>
    </xf>
    <xf numFmtId="164" fontId="0" fillId="2" borderId="2" xfId="0" applyNumberFormat="1" applyBorder="1" applyAlignment="1">
      <alignment/>
    </xf>
    <xf numFmtId="164" fontId="0" fillId="2" borderId="0" xfId="0" applyNumberFormat="1" applyAlignment="1">
      <alignment/>
    </xf>
    <xf numFmtId="164" fontId="0" fillId="2" borderId="1" xfId="0" applyNumberFormat="1" applyBorder="1" applyAlignment="1">
      <alignment/>
    </xf>
    <xf numFmtId="1" fontId="0" fillId="2" borderId="0" xfId="0" applyNumberFormat="1" applyAlignment="1">
      <alignment/>
    </xf>
    <xf numFmtId="0" fontId="0" fillId="3" borderId="0" xfId="0" applyAlignment="1" applyProtection="1">
      <alignment/>
      <protection/>
    </xf>
    <xf numFmtId="0" fontId="0" fillId="3" borderId="1" xfId="0" applyBorder="1" applyAlignment="1" applyProtection="1">
      <alignment/>
      <protection/>
    </xf>
    <xf numFmtId="0" fontId="0" fillId="3" borderId="2" xfId="0" applyBorder="1" applyAlignment="1" applyProtection="1">
      <alignment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140625" defaultRowHeight="12.75"/>
  <cols>
    <col min="1" max="1" width="14.28125" style="0" customWidth="1"/>
    <col min="2" max="3" width="8.421875" style="0" customWidth="1"/>
    <col min="6" max="10" width="9.28125" style="0" customWidth="1"/>
    <col min="11" max="12" width="6.7109375" style="0" customWidth="1"/>
    <col min="13" max="14" width="8.421875" style="0" customWidth="1"/>
    <col min="15" max="16" width="11.00390625" style="0" customWidth="1"/>
    <col min="17" max="17" width="9.7109375" style="0" customWidth="1"/>
  </cols>
  <sheetData>
    <row r="1" spans="1:2" ht="12.75">
      <c r="A1" t="s">
        <v>0</v>
      </c>
      <c r="B1" s="3" t="s">
        <v>1</v>
      </c>
    </row>
    <row r="3" spans="2:15" ht="12.75">
      <c r="B3" s="3" t="s">
        <v>2</v>
      </c>
      <c r="D3" s="3" t="s">
        <v>3</v>
      </c>
      <c r="H3" s="3" t="s">
        <v>4</v>
      </c>
      <c r="K3" s="3" t="s">
        <v>5</v>
      </c>
      <c r="M3" s="3" t="s">
        <v>6</v>
      </c>
      <c r="O3" s="3" t="s">
        <v>7</v>
      </c>
    </row>
    <row r="4" spans="2:17" ht="12.75">
      <c r="B4" t="s">
        <v>8</v>
      </c>
      <c r="K4" t="s">
        <v>8</v>
      </c>
      <c r="M4" s="3"/>
      <c r="O4" t="s">
        <v>9</v>
      </c>
      <c r="P4" t="s">
        <v>10</v>
      </c>
      <c r="Q4" t="s">
        <v>11</v>
      </c>
    </row>
    <row r="5" spans="1:17" ht="12.75">
      <c r="A5" t="s">
        <v>12</v>
      </c>
      <c r="B5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13</v>
      </c>
      <c r="L5" s="4" t="s">
        <v>14</v>
      </c>
      <c r="M5" s="4" t="s">
        <v>15</v>
      </c>
      <c r="N5" s="4" t="s">
        <v>16</v>
      </c>
      <c r="O5" s="5" t="s">
        <v>22</v>
      </c>
      <c r="P5" s="5" t="s">
        <v>23</v>
      </c>
      <c r="Q5" s="9" t="s">
        <v>24</v>
      </c>
    </row>
    <row r="6" spans="1:17" ht="12.75">
      <c r="A6" t="s">
        <v>25</v>
      </c>
      <c r="B6">
        <v>13467</v>
      </c>
      <c r="C6" s="1">
        <f>100*B6/$B$12</f>
        <v>45.96873293282359</v>
      </c>
      <c r="D6" s="1">
        <f>$B6*conversions!O5</f>
        <v>12120.300000000001</v>
      </c>
      <c r="E6" s="1">
        <f>$B6*conversions!P5</f>
        <v>404.01</v>
      </c>
      <c r="F6" s="36" t="s">
        <v>26</v>
      </c>
      <c r="G6" s="13">
        <v>0</v>
      </c>
      <c r="H6" s="13">
        <v>0</v>
      </c>
      <c r="I6" s="13">
        <v>0</v>
      </c>
      <c r="J6" s="13">
        <v>0</v>
      </c>
      <c r="K6">
        <f>B6-G6-H6-I6-J6+F12</f>
        <v>13467</v>
      </c>
      <c r="L6" s="1">
        <f>100*K6/$B$12</f>
        <v>45.96873293282359</v>
      </c>
      <c r="M6" s="2">
        <f>$G6*conversions!G5+$H6*conversions!G6+$I6*conversions!G7+$J6*conversions!G8</f>
        <v>0</v>
      </c>
      <c r="N6" s="2">
        <f>$G6*conversions!H5+$H6*conversions!H6+$I6*conversions!H7+$J6*conversions!H8</f>
        <v>0</v>
      </c>
      <c r="O6" s="7">
        <f>G6*conversions!B5+H6*conversions!B6+I6*conversions!B7+J6*conversions!B8</f>
        <v>0</v>
      </c>
      <c r="P6" s="7">
        <f>G6*conversions!D5+H6*conversions!D6+I6*conversions!D7+J6*conversions!D8</f>
        <v>0</v>
      </c>
      <c r="Q6" s="1" t="str">
        <f>IF(O6&lt;0,IF(P6&lt;0,"no payback",-O6/P6),IF(P6&gt;0,+O6/P6,"no payback"))</f>
        <v>no payback</v>
      </c>
    </row>
    <row r="7" spans="1:17" ht="12.75">
      <c r="A7" t="s">
        <v>27</v>
      </c>
      <c r="B7">
        <v>14340</v>
      </c>
      <c r="C7" s="1">
        <f>100*B7/$B$12</f>
        <v>48.94866193336974</v>
      </c>
      <c r="D7" s="1">
        <f>$B7*conversions!O6</f>
        <v>130494</v>
      </c>
      <c r="E7" s="1">
        <f>$B7*conversions!P6</f>
        <v>4445.4</v>
      </c>
      <c r="F7" s="13">
        <v>0</v>
      </c>
      <c r="G7" s="36" t="s">
        <v>26</v>
      </c>
      <c r="H7" s="13">
        <v>0</v>
      </c>
      <c r="I7" s="13">
        <v>0</v>
      </c>
      <c r="J7" s="13">
        <v>0</v>
      </c>
      <c r="K7">
        <f>B7-F7-H7-I7-J7+G12</f>
        <v>14340</v>
      </c>
      <c r="L7" s="1">
        <f>100*K7/$B$12</f>
        <v>48.94866193336974</v>
      </c>
      <c r="M7" s="2">
        <f>$F7*conversions!G9+$H7*conversions!G10+$I7*conversions!G11+$J7*conversions!G12</f>
        <v>0</v>
      </c>
      <c r="N7" s="2">
        <f>$F7*conversions!H9+$H7*conversions!H10+$I7*conversions!H11+$J7*conversions!H12</f>
        <v>0</v>
      </c>
      <c r="O7" s="7">
        <f>F7*conversions!B9+H7*conversions!B10+I7*conversions!B11+J7*conversions!B12</f>
        <v>0</v>
      </c>
      <c r="P7" s="7">
        <f>F7*conversions!D9+H7*conversions!D10+I7*conversions!D11+J7*conversions!D12</f>
        <v>0</v>
      </c>
      <c r="Q7" s="1" t="str">
        <f>IF(O7&lt;0,IF(P7&lt;0,"no payback",-O7/P7),IF(P7&gt;0,+O7/P7,"no payback"))</f>
        <v>no payback</v>
      </c>
    </row>
    <row r="8" spans="1:17" ht="12.75">
      <c r="A8" t="s">
        <v>28</v>
      </c>
      <c r="B8">
        <v>1361</v>
      </c>
      <c r="C8" s="1">
        <f>100*B8/$B$12</f>
        <v>4.645685417804478</v>
      </c>
      <c r="D8" s="1">
        <f>$B8*conversions!O7</f>
        <v>7485.5</v>
      </c>
      <c r="E8" s="1">
        <f>$B8*conversions!P7</f>
        <v>1497.1000000000001</v>
      </c>
      <c r="F8" s="13">
        <v>0</v>
      </c>
      <c r="G8" s="13">
        <v>0</v>
      </c>
      <c r="H8" s="36" t="s">
        <v>26</v>
      </c>
      <c r="I8" s="13">
        <v>0</v>
      </c>
      <c r="J8" s="13">
        <v>0</v>
      </c>
      <c r="K8">
        <f>B8-F8-G8-I8-J8+H12</f>
        <v>1361</v>
      </c>
      <c r="L8" s="1">
        <f>100*K8/$B$12</f>
        <v>4.645685417804478</v>
      </c>
      <c r="M8" s="2">
        <f>$F8*conversions!G13+$G8*conversions!G14+$I8*conversions!G15+$J8*conversions!G16</f>
        <v>0</v>
      </c>
      <c r="N8" s="2">
        <f>$F8*conversions!H13+$G8*conversions!H14+$I8*conversions!H15+$J8*conversions!H16</f>
        <v>0</v>
      </c>
      <c r="O8" s="7">
        <f>F8*conversions!B13+G8*conversions!B14+I8*conversions!B15+J8*conversions!B16</f>
        <v>0</v>
      </c>
      <c r="P8" s="7">
        <f>F8*conversions!D13+G8*conversions!D14+I8*conversions!D15+J8*conversions!D16</f>
        <v>0</v>
      </c>
      <c r="Q8" s="1" t="str">
        <f>IF(O8&lt;0,IF(P8&lt;0,"no payback",-O8/P8),IF(P8&gt;0,+O8/P8,"no payback"))</f>
        <v>no payback</v>
      </c>
    </row>
    <row r="9" spans="1:17" ht="12.75">
      <c r="A9" t="s">
        <v>29</v>
      </c>
      <c r="B9">
        <v>45</v>
      </c>
      <c r="C9" s="1">
        <f>100*B9/$B$12</f>
        <v>0.153604587657018</v>
      </c>
      <c r="D9" s="1">
        <f>$B9*conversions!O8</f>
        <v>-355.5</v>
      </c>
      <c r="E9" s="1">
        <f>$B9*conversions!P8</f>
        <v>-67.5</v>
      </c>
      <c r="F9" s="13">
        <v>0</v>
      </c>
      <c r="G9" s="13">
        <v>0</v>
      </c>
      <c r="H9" s="13">
        <v>0</v>
      </c>
      <c r="I9" s="36" t="s">
        <v>26</v>
      </c>
      <c r="J9" s="13">
        <v>0</v>
      </c>
      <c r="K9">
        <f>B9-F9-G9-H9-J9+I12</f>
        <v>45</v>
      </c>
      <c r="L9" s="1">
        <f>100*K9/$B$12</f>
        <v>0.153604587657018</v>
      </c>
      <c r="M9" s="2">
        <f>$F9*conversions!G17+$G9*conversions!G18+$H9*conversions!G19+$J9*conversions!G20</f>
        <v>0</v>
      </c>
      <c r="N9" s="2">
        <f>$F9*conversions!H17+$G9*conversions!H18+$H9*conversions!H19+$J9*conversions!H20</f>
        <v>0</v>
      </c>
      <c r="O9" s="7">
        <f>F9*conversions!B17+G9*conversions!B18+H9*conversions!B19+J9*conversions!B20</f>
        <v>0</v>
      </c>
      <c r="P9" s="7">
        <f>F9*conversions!D17+G9*conversions!D18+H9*conversions!D19+J9*conversions!D20</f>
        <v>0</v>
      </c>
      <c r="Q9" s="1" t="str">
        <f>IF(O9&lt;0,IF(P9&lt;0,"no payback",-O9/P9),IF(P9&gt;0,+O9/P9,"no payback"))</f>
        <v>no payback</v>
      </c>
    </row>
    <row r="10" spans="1:17" ht="12.75">
      <c r="A10" s="14" t="s">
        <v>30</v>
      </c>
      <c r="B10" s="14">
        <v>83</v>
      </c>
      <c r="C10" s="15">
        <f>100*B10/$B$12</f>
        <v>0.2833151283451666</v>
      </c>
      <c r="D10" s="15">
        <f>$B10*conversions!O9</f>
        <v>14110</v>
      </c>
      <c r="E10" s="15">
        <f>$B10*conversions!P9</f>
        <v>1992</v>
      </c>
      <c r="F10" s="16">
        <v>0</v>
      </c>
      <c r="G10" s="16">
        <v>0</v>
      </c>
      <c r="H10" s="16">
        <v>0</v>
      </c>
      <c r="I10" s="16">
        <v>0</v>
      </c>
      <c r="J10" s="37" t="s">
        <v>26</v>
      </c>
      <c r="K10" s="14">
        <f>B10-F10-G10-H10-I10+J12</f>
        <v>83</v>
      </c>
      <c r="L10" s="15">
        <f>100*K10/$B$12</f>
        <v>0.2833151283451666</v>
      </c>
      <c r="M10" s="17">
        <f>$F10*conversions!G21+$G10*conversions!G22+$H10*conversions!G23+$I10*conversions!G24</f>
        <v>0</v>
      </c>
      <c r="N10" s="17">
        <f>$F10*conversions!H21+$G10*conversions!H22+$H10*conversions!H23+$I10*conversions!H24</f>
        <v>0</v>
      </c>
      <c r="O10" s="18">
        <f>F10*conversions!B21+G10*conversions!B22+H10*conversions!B23+I10*conversions!B24</f>
        <v>0</v>
      </c>
      <c r="P10" s="18">
        <f>F10*conversions!D21+G10*conversions!D22+H10*conversions!D23+I10*conversions!D24</f>
        <v>0</v>
      </c>
      <c r="Q10" s="15" t="str">
        <f>IF(O10&lt;0,IF(P10&lt;0,"no payback",-O10/P10),IF(P10&gt;0,+O10/P10,"no payback"))</f>
        <v>no payback</v>
      </c>
    </row>
    <row r="11" spans="4:5" ht="12.75">
      <c r="D11" s="1"/>
      <c r="E11" s="1"/>
    </row>
    <row r="12" spans="1:17" ht="12.75">
      <c r="A12" t="s">
        <v>31</v>
      </c>
      <c r="B12">
        <f aca="true" t="shared" si="0" ref="B12:P12">SUM(B6:B11)</f>
        <v>29296</v>
      </c>
      <c r="C12" s="1">
        <f t="shared" si="0"/>
        <v>99.99999999999999</v>
      </c>
      <c r="D12" s="1">
        <f t="shared" si="0"/>
        <v>163854.3</v>
      </c>
      <c r="E12" s="1">
        <f t="shared" si="0"/>
        <v>8271.01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29296</v>
      </c>
      <c r="L12" s="1">
        <f t="shared" si="0"/>
        <v>99.99999999999999</v>
      </c>
      <c r="M12" s="2">
        <f t="shared" si="0"/>
        <v>0</v>
      </c>
      <c r="N12" s="2">
        <f t="shared" si="0"/>
        <v>0</v>
      </c>
      <c r="O12" s="7">
        <f t="shared" si="0"/>
        <v>0</v>
      </c>
      <c r="P12" s="7">
        <f t="shared" si="0"/>
        <v>0</v>
      </c>
      <c r="Q12" s="1" t="str">
        <f>IF(O12&lt;0,IF(P12&lt;0,"no payback",-O12/P12),IF(P12&gt;0,+O12/P12,"no payback"))</f>
        <v>no payback</v>
      </c>
    </row>
    <row r="13" spans="6:10" ht="12.75">
      <c r="F13" s="31">
        <f>IF(OR(F7&gt;B7,F8&gt;B8,F9&gt;B9,F10&gt;B10),"too large!","")</f>
      </c>
      <c r="G13" s="31">
        <f>IF(OR(G6&gt;$B6,G8&gt;$B8,G9&gt;$B9,G10&gt;$B10),"too large!","")</f>
      </c>
      <c r="H13" s="31">
        <f>IF(OR(H6&gt;$B6,H7&gt;$B7,H9&gt;$B9,H10&gt;$B10),"too large!","")</f>
      </c>
      <c r="I13" s="31">
        <f>IF(OR(I6&gt;$B6,I7&gt;$B7,I8&gt;$B8,I10&gt;$B10),"too large!","")</f>
      </c>
      <c r="J13" s="31">
        <f>IF(OR(J6&gt;$B6,J7&gt;$B7,J8&gt;$B8,J9&gt;$B9),"too large!","")</f>
      </c>
    </row>
    <row r="14" spans="2:15" ht="12.75">
      <c r="B14" s="3" t="s">
        <v>2</v>
      </c>
      <c r="D14" s="3" t="s">
        <v>3</v>
      </c>
      <c r="G14" s="3" t="s">
        <v>4</v>
      </c>
      <c r="K14" s="3" t="s">
        <v>5</v>
      </c>
      <c r="M14" s="3" t="s">
        <v>6</v>
      </c>
      <c r="O14" s="3" t="s">
        <v>7</v>
      </c>
    </row>
    <row r="15" spans="2:17" ht="12.75">
      <c r="B15" t="s">
        <v>32</v>
      </c>
      <c r="K15" t="s">
        <v>32</v>
      </c>
      <c r="M15" s="3"/>
      <c r="O15" t="s">
        <v>9</v>
      </c>
      <c r="P15" t="s">
        <v>10</v>
      </c>
      <c r="Q15" t="s">
        <v>11</v>
      </c>
    </row>
    <row r="16" spans="1:17" ht="12.75">
      <c r="A16" t="s">
        <v>33</v>
      </c>
      <c r="B16" t="s">
        <v>34</v>
      </c>
      <c r="C16" s="4" t="s">
        <v>14</v>
      </c>
      <c r="D16" s="4" t="s">
        <v>15</v>
      </c>
      <c r="E16" s="4" t="s">
        <v>16</v>
      </c>
      <c r="F16" t="s">
        <v>35</v>
      </c>
      <c r="G16" t="s">
        <v>36</v>
      </c>
      <c r="H16" t="s">
        <v>37</v>
      </c>
      <c r="K16" t="s">
        <v>34</v>
      </c>
      <c r="L16" s="4" t="s">
        <v>14</v>
      </c>
      <c r="M16" s="4" t="s">
        <v>15</v>
      </c>
      <c r="N16" s="4" t="s">
        <v>16</v>
      </c>
      <c r="O16" s="5" t="s">
        <v>22</v>
      </c>
      <c r="P16" s="5" t="s">
        <v>23</v>
      </c>
      <c r="Q16" s="9" t="s">
        <v>24</v>
      </c>
    </row>
    <row r="17" spans="1:17" ht="12.75">
      <c r="A17" s="19" t="s">
        <v>38</v>
      </c>
      <c r="B17" s="32">
        <v>209.87</v>
      </c>
      <c r="C17" s="20">
        <f>100*B17/$B$21</f>
        <v>45.70538786532514</v>
      </c>
      <c r="D17" s="20">
        <f>$B17*conversions!O14</f>
        <v>-1930.8039999999999</v>
      </c>
      <c r="E17" s="20">
        <f>$B17*conversions!P14</f>
        <v>-356.779</v>
      </c>
      <c r="F17" s="38" t="s">
        <v>26</v>
      </c>
      <c r="G17" s="21">
        <v>0</v>
      </c>
      <c r="H17" s="21">
        <v>0</v>
      </c>
      <c r="I17" s="22" t="s">
        <v>26</v>
      </c>
      <c r="J17" s="22" t="s">
        <v>26</v>
      </c>
      <c r="K17" s="19">
        <f>B17-G17-H17+F21</f>
        <v>209.87</v>
      </c>
      <c r="L17" s="20">
        <f>100*K17/$B$21</f>
        <v>45.70538786532514</v>
      </c>
      <c r="M17" s="20">
        <f>$G17*conversions!G25+$H17*conversions!G26</f>
        <v>0</v>
      </c>
      <c r="N17" s="20">
        <f>$G17*conversions!H25+$H17*conversions!H26</f>
        <v>0</v>
      </c>
      <c r="O17" s="23">
        <f>$G17*conversions!B25+$H17*conversions!B26</f>
        <v>0</v>
      </c>
      <c r="P17" s="23">
        <f>$G17*conversions!D25+$H17*conversions!D26</f>
        <v>0</v>
      </c>
      <c r="Q17" s="20" t="str">
        <f>IF(O17&lt;0,IF(P17&lt;0,"no payback",-O17/P17),IF(P17&gt;0,+O17/P17,"no payback"))</f>
        <v>no payback</v>
      </c>
    </row>
    <row r="18" spans="1:17" ht="12.75">
      <c r="A18" t="s">
        <v>39</v>
      </c>
      <c r="B18" s="33">
        <v>2.96</v>
      </c>
      <c r="C18" s="1">
        <f>100*B18/$B$21</f>
        <v>0.6446273792412561</v>
      </c>
      <c r="D18" s="1">
        <f>$B18*conversions!O15</f>
        <v>-44.104</v>
      </c>
      <c r="E18" s="1">
        <f>$B18*conversions!P15</f>
        <v>-13.616</v>
      </c>
      <c r="F18" s="13">
        <v>0</v>
      </c>
      <c r="G18" s="36" t="s">
        <v>26</v>
      </c>
      <c r="H18" s="13">
        <v>0</v>
      </c>
      <c r="I18" s="6" t="s">
        <v>26</v>
      </c>
      <c r="J18" s="6" t="s">
        <v>26</v>
      </c>
      <c r="K18">
        <f>B18-F18-H18+G21</f>
        <v>2.96</v>
      </c>
      <c r="L18" s="1">
        <f>100*K18/$B$21</f>
        <v>0.6446273792412561</v>
      </c>
      <c r="M18" s="1">
        <f>$F18*conversions!G27+$H18*conversions!G28</f>
        <v>0</v>
      </c>
      <c r="N18" s="1">
        <f>$F18*conversions!H27+$H18*conversions!H28</f>
        <v>0</v>
      </c>
      <c r="O18" s="7">
        <f>$F18*conversions!B27+$H18*conversions!B28</f>
        <v>0</v>
      </c>
      <c r="P18" s="7">
        <f>$F18*conversions!D27+$H18*conversions!D28</f>
        <v>0</v>
      </c>
      <c r="Q18" s="1" t="str">
        <f>IF(O18&lt;0,IF(P18&lt;0,"no payback",-O18/P18),IF(P18&gt;0,+O18/P18,"no payback"))</f>
        <v>no payback</v>
      </c>
    </row>
    <row r="19" spans="1:17" ht="12.75">
      <c r="A19" s="14" t="s">
        <v>40</v>
      </c>
      <c r="B19" s="34">
        <f>B21-B17-B18</f>
        <v>246.35</v>
      </c>
      <c r="C19" s="15">
        <f>100*B19/$B$21</f>
        <v>53.6499847554336</v>
      </c>
      <c r="D19" s="15">
        <f>$B19*conversions!O16</f>
        <v>221.715</v>
      </c>
      <c r="E19" s="15">
        <f>$B19*conversions!P16</f>
        <v>24.635</v>
      </c>
      <c r="F19" s="16">
        <v>0</v>
      </c>
      <c r="G19" s="16">
        <v>0</v>
      </c>
      <c r="H19" s="37" t="s">
        <v>26</v>
      </c>
      <c r="I19" s="24" t="s">
        <v>26</v>
      </c>
      <c r="J19" s="24" t="s">
        <v>26</v>
      </c>
      <c r="K19" s="14">
        <f>B19-F19-G19+H21</f>
        <v>246.35</v>
      </c>
      <c r="L19" s="15">
        <f>100*K19/$B$21</f>
        <v>53.6499847554336</v>
      </c>
      <c r="M19" s="15">
        <f>$F19*conversions!G29+$G19*conversions!G30</f>
        <v>0</v>
      </c>
      <c r="N19" s="15">
        <f>$F19*conversions!H29+$G19*conversions!H30</f>
        <v>0</v>
      </c>
      <c r="O19" s="18">
        <f>$F19*conversions!B29+$G19*conversions!B30</f>
        <v>0</v>
      </c>
      <c r="P19" s="18">
        <f>$F19*conversions!D29+$G19*conversions!D30</f>
        <v>0</v>
      </c>
      <c r="Q19" s="15" t="str">
        <f>IF(O19&lt;0,IF(P19&lt;0,"no payback",-O19/P19),IF(P19&gt;0,+O19/P19,"no payback"))</f>
        <v>no payback</v>
      </c>
    </row>
    <row r="20" spans="2:16" ht="12.75">
      <c r="B20" s="33"/>
      <c r="D20" s="1"/>
      <c r="E20" s="1"/>
      <c r="O20" s="7"/>
      <c r="P20" s="7"/>
    </row>
    <row r="21" spans="1:17" ht="12.75">
      <c r="A21" t="s">
        <v>41</v>
      </c>
      <c r="B21" s="33">
        <v>459.18</v>
      </c>
      <c r="C21" s="1">
        <f aca="true" t="shared" si="1" ref="C21:H21">SUM(C17:C20)</f>
        <v>100</v>
      </c>
      <c r="D21" s="1">
        <f t="shared" si="1"/>
        <v>-1753.193</v>
      </c>
      <c r="E21" s="1">
        <f t="shared" si="1"/>
        <v>-345.76</v>
      </c>
      <c r="F21" s="1">
        <f t="shared" si="1"/>
        <v>0</v>
      </c>
      <c r="G21" s="1">
        <f t="shared" si="1"/>
        <v>0</v>
      </c>
      <c r="H21" s="1">
        <f t="shared" si="1"/>
        <v>0</v>
      </c>
      <c r="I21" s="6" t="s">
        <v>26</v>
      </c>
      <c r="J21" s="6" t="s">
        <v>26</v>
      </c>
      <c r="K21" s="2">
        <f aca="true" t="shared" si="2" ref="K21:Q21">SUM(K17:K20)</f>
        <v>459.18</v>
      </c>
      <c r="L21" s="1">
        <f t="shared" si="2"/>
        <v>100</v>
      </c>
      <c r="M21" s="1">
        <f t="shared" si="2"/>
        <v>0</v>
      </c>
      <c r="N21" s="1">
        <f t="shared" si="2"/>
        <v>0</v>
      </c>
      <c r="O21" s="7">
        <f t="shared" si="2"/>
        <v>0</v>
      </c>
      <c r="P21" s="7">
        <f t="shared" si="2"/>
        <v>0</v>
      </c>
      <c r="Q21" s="1">
        <f t="shared" si="2"/>
        <v>0</v>
      </c>
    </row>
    <row r="22" spans="6:8" ht="12.75">
      <c r="F22" s="31">
        <f>IF(OR(F18&gt;$B18,F19&gt;$B19),"too large!","")</f>
      </c>
      <c r="G22" s="31">
        <f>IF(OR(G17&gt;$B17,G19&gt;$B19),"too large!","")</f>
      </c>
      <c r="H22" s="31">
        <f>IF(OR(H17&gt;$B17,H18&gt;$B18),"too large!","")</f>
      </c>
    </row>
    <row r="23" spans="2:15" ht="12.75">
      <c r="B23" s="3" t="s">
        <v>2</v>
      </c>
      <c r="D23" s="3" t="s">
        <v>3</v>
      </c>
      <c r="G23" s="3" t="s">
        <v>4</v>
      </c>
      <c r="K23" s="3" t="s">
        <v>5</v>
      </c>
      <c r="M23" s="3" t="s">
        <v>6</v>
      </c>
      <c r="O23" s="3" t="s">
        <v>7</v>
      </c>
    </row>
    <row r="24" spans="1:17" ht="12.75">
      <c r="A24" t="s">
        <v>42</v>
      </c>
      <c r="B24" t="s">
        <v>43</v>
      </c>
      <c r="C24" s="4" t="s">
        <v>14</v>
      </c>
      <c r="D24" s="4" t="s">
        <v>15</v>
      </c>
      <c r="E24" s="4" t="s">
        <v>16</v>
      </c>
      <c r="F24" t="s">
        <v>44</v>
      </c>
      <c r="G24" t="s">
        <v>45</v>
      </c>
      <c r="H24" t="s">
        <v>46</v>
      </c>
      <c r="K24" t="s">
        <v>43</v>
      </c>
      <c r="L24" s="4" t="s">
        <v>14</v>
      </c>
      <c r="M24" s="4" t="s">
        <v>15</v>
      </c>
      <c r="N24" s="4" t="s">
        <v>16</v>
      </c>
      <c r="O24" s="5" t="s">
        <v>47</v>
      </c>
      <c r="P24" s="11" t="s">
        <v>48</v>
      </c>
      <c r="Q24" s="11" t="s">
        <v>49</v>
      </c>
    </row>
    <row r="25" spans="1:17" ht="12.75">
      <c r="A25" s="19" t="s">
        <v>50</v>
      </c>
      <c r="B25" s="19">
        <f>B29-B26-B27</f>
        <v>10202</v>
      </c>
      <c r="C25" s="20">
        <f>100*B25/$B$29</f>
        <v>96.8299164768413</v>
      </c>
      <c r="D25" s="25">
        <f>$B25*conversions!O21</f>
        <v>20404</v>
      </c>
      <c r="E25" s="25">
        <f>$B25*conversions!P21</f>
        <v>564.7535714285715</v>
      </c>
      <c r="F25" s="38" t="s">
        <v>26</v>
      </c>
      <c r="G25" s="21">
        <v>0</v>
      </c>
      <c r="H25" s="21">
        <v>0</v>
      </c>
      <c r="I25" s="22" t="s">
        <v>26</v>
      </c>
      <c r="J25" s="22" t="s">
        <v>26</v>
      </c>
      <c r="K25" s="19">
        <f>B25-G25-H25+F29</f>
        <v>10202</v>
      </c>
      <c r="L25" s="20">
        <f>100*K25/$B$29</f>
        <v>96.8299164768413</v>
      </c>
      <c r="M25" s="20">
        <f>$G25*conversions!G31+$H25*conversions!G32</f>
        <v>0</v>
      </c>
      <c r="N25" s="20">
        <f>$G25*conversions!H31+$H25*conversions!H32</f>
        <v>0</v>
      </c>
      <c r="O25" s="23">
        <f>$G25*conversions!B31+$H25*conversions!B32</f>
        <v>0</v>
      </c>
      <c r="P25" s="23">
        <f>$G25*conversions!D31+$H25*conversions!D32</f>
        <v>0</v>
      </c>
      <c r="Q25" s="20" t="str">
        <f>IF(O25&lt;0,IF(P25&lt;0,"no payback",-O25/P25),IF(P25&gt;0,+O25/P25,"no payback"))</f>
        <v>no payback</v>
      </c>
    </row>
    <row r="26" spans="1:17" ht="12.75">
      <c r="A26" t="s">
        <v>51</v>
      </c>
      <c r="B26">
        <v>334</v>
      </c>
      <c r="C26" s="1">
        <f>100*B26/$B$29</f>
        <v>3.170083523158694</v>
      </c>
      <c r="D26" s="2">
        <f>$B26*conversions!O22</f>
        <v>1670</v>
      </c>
      <c r="E26" s="2">
        <f>$B26*conversions!P22</f>
        <v>462.23214285714295</v>
      </c>
      <c r="F26" s="13">
        <v>0</v>
      </c>
      <c r="G26" s="36" t="s">
        <v>26</v>
      </c>
      <c r="H26" s="13">
        <v>0</v>
      </c>
      <c r="I26" s="6" t="s">
        <v>26</v>
      </c>
      <c r="J26" s="6" t="s">
        <v>26</v>
      </c>
      <c r="K26">
        <f>B26-F26-H26+G29</f>
        <v>334</v>
      </c>
      <c r="L26" s="1">
        <f>100*K26/$B$29</f>
        <v>3.170083523158694</v>
      </c>
      <c r="M26" s="1">
        <f>$F26*conversions!G33+$H26*conversions!G34</f>
        <v>0</v>
      </c>
      <c r="N26" s="1">
        <f>$F26*conversions!H33+$H26*conversions!H34</f>
        <v>0</v>
      </c>
      <c r="O26" s="7">
        <f>$F26*conversions!B33+$H26*conversions!B34</f>
        <v>0</v>
      </c>
      <c r="P26" s="7">
        <f>$F26*conversions!D33+$H26*conversions!D34</f>
        <v>0</v>
      </c>
      <c r="Q26" s="1" t="str">
        <f>IF(O26&lt;0,IF(P26&lt;0,"no payback",-O26/P26),IF(P26&gt;0,+O26/P26,"no payback"))</f>
        <v>no payback</v>
      </c>
    </row>
    <row r="27" spans="1:17" ht="12.75">
      <c r="A27" s="14" t="s">
        <v>52</v>
      </c>
      <c r="B27" s="14">
        <v>0</v>
      </c>
      <c r="C27" s="15">
        <f>100*B27/$B$29</f>
        <v>0</v>
      </c>
      <c r="D27" s="17">
        <f>$B27*conversions!O23</f>
        <v>0</v>
      </c>
      <c r="E27" s="17">
        <f>$B27*conversions!P23</f>
        <v>0</v>
      </c>
      <c r="F27" s="16">
        <v>0</v>
      </c>
      <c r="G27" s="16">
        <v>0</v>
      </c>
      <c r="H27" s="37" t="s">
        <v>26</v>
      </c>
      <c r="I27" s="24" t="s">
        <v>26</v>
      </c>
      <c r="J27" s="24" t="s">
        <v>26</v>
      </c>
      <c r="K27" s="14">
        <f>B27-F27-G27+H29</f>
        <v>0</v>
      </c>
      <c r="L27" s="15">
        <f>100*K27/$B$29</f>
        <v>0</v>
      </c>
      <c r="M27" s="15">
        <f>$F27*conversions!G35+$G27*conversions!G36</f>
        <v>0</v>
      </c>
      <c r="N27" s="15">
        <f>$F27*conversions!H35+$G27*conversions!H36</f>
        <v>0</v>
      </c>
      <c r="O27" s="18">
        <f>$F27*conversions!B35+$G27*conversions!B36</f>
        <v>0</v>
      </c>
      <c r="P27" s="18">
        <f>$F27*conversions!D35+$G27*conversions!D36</f>
        <v>0</v>
      </c>
      <c r="Q27" s="15" t="str">
        <f>IF(O27&lt;0,IF(P27&lt;0,"no payback",-O27/P27),IF(P27&gt;0,+O27/P27,"no payback"))</f>
        <v>no payback</v>
      </c>
    </row>
    <row r="28" spans="15:16" ht="12.75">
      <c r="O28" s="7"/>
      <c r="P28" s="7"/>
    </row>
    <row r="29" spans="1:17" ht="12.75">
      <c r="A29" t="s">
        <v>31</v>
      </c>
      <c r="B29" s="2">
        <v>10536</v>
      </c>
      <c r="C29" s="1">
        <f aca="true" t="shared" si="3" ref="C29:H29">SUM(C25:C28)</f>
        <v>100</v>
      </c>
      <c r="D29" s="2">
        <f t="shared" si="3"/>
        <v>22074</v>
      </c>
      <c r="E29" s="2">
        <f t="shared" si="3"/>
        <v>1026.9857142857145</v>
      </c>
      <c r="F29" s="35">
        <f t="shared" si="3"/>
        <v>0</v>
      </c>
      <c r="G29" s="35">
        <f t="shared" si="3"/>
        <v>0</v>
      </c>
      <c r="H29" s="35">
        <f t="shared" si="3"/>
        <v>0</v>
      </c>
      <c r="I29" s="6" t="s">
        <v>26</v>
      </c>
      <c r="J29" s="6" t="s">
        <v>26</v>
      </c>
      <c r="K29" s="2">
        <f aca="true" t="shared" si="4" ref="K29:Q29">SUM(K25:K28)</f>
        <v>10536</v>
      </c>
      <c r="L29" s="1">
        <f t="shared" si="4"/>
        <v>100</v>
      </c>
      <c r="M29" s="1">
        <f t="shared" si="4"/>
        <v>0</v>
      </c>
      <c r="N29" s="1">
        <f t="shared" si="4"/>
        <v>0</v>
      </c>
      <c r="O29" s="7">
        <f t="shared" si="4"/>
        <v>0</v>
      </c>
      <c r="P29" s="7">
        <f t="shared" si="4"/>
        <v>0</v>
      </c>
      <c r="Q29" s="1">
        <f t="shared" si="4"/>
        <v>0</v>
      </c>
    </row>
    <row r="30" spans="6:8" ht="12.75">
      <c r="F30" s="31">
        <f>IF(OR(F26&gt;$B26,F27&gt;$B27),"too large!","")</f>
      </c>
      <c r="G30" s="31">
        <f>IF(OR(G25&gt;$B25,G27&gt;$B27),"too large!","")</f>
      </c>
      <c r="H30" s="31">
        <f>IF(OR(H25&gt;$B25,H26&gt;$B26),"too large!","")</f>
      </c>
    </row>
    <row r="31" spans="1:17" ht="12.75">
      <c r="A31" t="s">
        <v>53</v>
      </c>
      <c r="D31" s="2">
        <f>D12+D21+D29</f>
        <v>184175.107</v>
      </c>
      <c r="E31" s="2">
        <f>E12+E21+E29</f>
        <v>8952.235714285714</v>
      </c>
      <c r="M31" s="26">
        <f>M12+M21+M29</f>
        <v>0</v>
      </c>
      <c r="N31" s="26">
        <f>N12+N21+N29</f>
        <v>0</v>
      </c>
      <c r="O31" s="7">
        <f>O12+O21+O29</f>
        <v>0</v>
      </c>
      <c r="P31" s="7">
        <f>P12+P21+P29</f>
        <v>0</v>
      </c>
      <c r="Q31" s="2" t="e">
        <f>Q12+Q21+Q29</f>
        <v>#VALUE!</v>
      </c>
    </row>
    <row r="32" spans="13:14" ht="12.75">
      <c r="M32" s="27">
        <f>100*M31/D31</f>
        <v>0</v>
      </c>
      <c r="N32" s="28">
        <f>100*N31/E31</f>
        <v>0</v>
      </c>
    </row>
    <row r="33" spans="13:14" ht="12.75">
      <c r="M33" s="29" t="s">
        <v>113</v>
      </c>
      <c r="N33" s="30"/>
    </row>
  </sheetData>
  <sheetProtection sheet="1" objects="1" scenarios="1" selectLockedCells="1"/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19.28125" style="0" customWidth="1"/>
    <col min="7" max="8" width="11.00390625" style="0" customWidth="1"/>
    <col min="10" max="10" width="10.57421875" style="0" customWidth="1"/>
    <col min="15" max="16" width="11.00390625" style="0" customWidth="1"/>
  </cols>
  <sheetData>
    <row r="2" spans="2:7" ht="12.75">
      <c r="B2" t="s">
        <v>54</v>
      </c>
      <c r="D2" t="s">
        <v>54</v>
      </c>
      <c r="G2" t="s">
        <v>55</v>
      </c>
    </row>
    <row r="3" spans="2:15" ht="12.75">
      <c r="B3" t="s">
        <v>56</v>
      </c>
      <c r="D3" t="s">
        <v>57</v>
      </c>
      <c r="F3" t="s">
        <v>11</v>
      </c>
      <c r="K3" t="s">
        <v>58</v>
      </c>
      <c r="M3" t="s">
        <v>57</v>
      </c>
      <c r="O3" t="s">
        <v>59</v>
      </c>
    </row>
    <row r="4" spans="1:16" ht="12.75">
      <c r="A4" t="s">
        <v>60</v>
      </c>
      <c r="B4" t="s">
        <v>61</v>
      </c>
      <c r="C4" t="s">
        <v>62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J4" t="s">
        <v>66</v>
      </c>
      <c r="K4" t="s">
        <v>61</v>
      </c>
      <c r="L4" t="s">
        <v>62</v>
      </c>
      <c r="M4" t="s">
        <v>61</v>
      </c>
      <c r="N4" t="s">
        <v>62</v>
      </c>
      <c r="O4" t="s">
        <v>64</v>
      </c>
      <c r="P4" t="s">
        <v>65</v>
      </c>
    </row>
    <row r="5" spans="1:16" ht="12.75">
      <c r="A5" t="s">
        <v>67</v>
      </c>
      <c r="B5">
        <f>-K5+K6</f>
        <v>1500</v>
      </c>
      <c r="C5" t="s">
        <v>68</v>
      </c>
      <c r="D5">
        <f>-M5+M6</f>
        <v>-1500</v>
      </c>
      <c r="E5" t="s">
        <v>69</v>
      </c>
      <c r="F5" s="8">
        <f aca="true" t="shared" si="0" ref="F5:F36">B5/D5</f>
        <v>-1</v>
      </c>
      <c r="G5">
        <f>-O5+O6</f>
        <v>8.2</v>
      </c>
      <c r="H5">
        <f>-P5+P6</f>
        <v>0.28</v>
      </c>
      <c r="J5" t="s">
        <v>25</v>
      </c>
      <c r="K5">
        <v>500</v>
      </c>
      <c r="L5" t="s">
        <v>68</v>
      </c>
      <c r="M5">
        <v>500</v>
      </c>
      <c r="N5" t="s">
        <v>69</v>
      </c>
      <c r="O5">
        <v>0.9</v>
      </c>
      <c r="P5">
        <v>0.03</v>
      </c>
    </row>
    <row r="6" spans="1:16" ht="12.75">
      <c r="A6" t="s">
        <v>70</v>
      </c>
      <c r="B6">
        <f>-K5+K7</f>
        <v>3500</v>
      </c>
      <c r="C6" t="s">
        <v>68</v>
      </c>
      <c r="D6">
        <f>-M5+M7</f>
        <v>-1300</v>
      </c>
      <c r="E6" t="s">
        <v>69</v>
      </c>
      <c r="F6" s="8">
        <f t="shared" si="0"/>
        <v>-2.6923076923076925</v>
      </c>
      <c r="G6">
        <f>-O5+O7</f>
        <v>4.6</v>
      </c>
      <c r="H6">
        <f>-P5+P7</f>
        <v>1.07</v>
      </c>
      <c r="J6" t="s">
        <v>27</v>
      </c>
      <c r="K6">
        <v>2000</v>
      </c>
      <c r="L6" t="s">
        <v>68</v>
      </c>
      <c r="M6">
        <v>-1000</v>
      </c>
      <c r="N6" t="s">
        <v>69</v>
      </c>
      <c r="O6">
        <v>9.1</v>
      </c>
      <c r="P6">
        <v>0.31</v>
      </c>
    </row>
    <row r="7" spans="1:16" ht="12.75">
      <c r="A7" t="s">
        <v>71</v>
      </c>
      <c r="B7">
        <f>-K5+K8</f>
        <v>-500</v>
      </c>
      <c r="C7" t="s">
        <v>68</v>
      </c>
      <c r="D7">
        <f>-M5+M8</f>
        <v>500</v>
      </c>
      <c r="E7" t="s">
        <v>69</v>
      </c>
      <c r="F7" s="8">
        <f t="shared" si="0"/>
        <v>-1</v>
      </c>
      <c r="G7">
        <f>-O5+O8</f>
        <v>-8.8</v>
      </c>
      <c r="H7">
        <f>-P5+P8</f>
        <v>-1.53</v>
      </c>
      <c r="J7" t="s">
        <v>28</v>
      </c>
      <c r="K7">
        <v>4000</v>
      </c>
      <c r="L7" t="s">
        <v>68</v>
      </c>
      <c r="M7">
        <v>-800</v>
      </c>
      <c r="N7" t="s">
        <v>69</v>
      </c>
      <c r="O7">
        <v>5.5</v>
      </c>
      <c r="P7">
        <v>1.1</v>
      </c>
    </row>
    <row r="8" spans="1:16" ht="12.75">
      <c r="A8" t="s">
        <v>72</v>
      </c>
      <c r="B8">
        <f>-K5+K9</f>
        <v>2500</v>
      </c>
      <c r="C8" t="s">
        <v>68</v>
      </c>
      <c r="D8">
        <f>-M5+M9</f>
        <v>-2500</v>
      </c>
      <c r="E8" t="s">
        <v>69</v>
      </c>
      <c r="F8" s="8">
        <f t="shared" si="0"/>
        <v>-1</v>
      </c>
      <c r="G8">
        <f>-O5+O9</f>
        <v>169.1</v>
      </c>
      <c r="H8">
        <f>-P5+P9</f>
        <v>23.97</v>
      </c>
      <c r="J8" t="s">
        <v>29</v>
      </c>
      <c r="K8">
        <v>0</v>
      </c>
      <c r="L8" t="s">
        <v>68</v>
      </c>
      <c r="M8">
        <v>1000</v>
      </c>
      <c r="N8" t="s">
        <v>69</v>
      </c>
      <c r="O8">
        <v>-7.9</v>
      </c>
      <c r="P8">
        <v>-1.5</v>
      </c>
    </row>
    <row r="9" spans="1:16" ht="12.75">
      <c r="A9" t="s">
        <v>73</v>
      </c>
      <c r="B9" s="2">
        <f>-K6+K5</f>
        <v>-1500</v>
      </c>
      <c r="C9" t="s">
        <v>68</v>
      </c>
      <c r="D9" s="2">
        <f>-M6+M5</f>
        <v>1500</v>
      </c>
      <c r="E9" t="s">
        <v>69</v>
      </c>
      <c r="F9" s="8">
        <f t="shared" si="0"/>
        <v>-1</v>
      </c>
      <c r="G9" s="2">
        <f>-O6+O5</f>
        <v>-8.2</v>
      </c>
      <c r="H9" s="2">
        <f>-P6+P5</f>
        <v>-0.28</v>
      </c>
      <c r="J9" t="s">
        <v>30</v>
      </c>
      <c r="K9">
        <v>3000</v>
      </c>
      <c r="L9" t="s">
        <v>68</v>
      </c>
      <c r="M9">
        <v>-2000</v>
      </c>
      <c r="N9" t="s">
        <v>69</v>
      </c>
      <c r="O9">
        <v>170</v>
      </c>
      <c r="P9">
        <v>24</v>
      </c>
    </row>
    <row r="10" spans="1:8" ht="12.75">
      <c r="A10" t="s">
        <v>74</v>
      </c>
      <c r="B10">
        <f>-K6+K7</f>
        <v>2000</v>
      </c>
      <c r="C10" t="s">
        <v>68</v>
      </c>
      <c r="D10">
        <f>-M6+M7</f>
        <v>200</v>
      </c>
      <c r="E10" t="s">
        <v>69</v>
      </c>
      <c r="F10" s="8">
        <f t="shared" si="0"/>
        <v>10</v>
      </c>
      <c r="G10">
        <f>-O6+O7</f>
        <v>-3.5999999999999996</v>
      </c>
      <c r="H10">
        <f>-P6+P7</f>
        <v>0.79</v>
      </c>
    </row>
    <row r="11" spans="1:8" ht="12.75">
      <c r="A11" t="s">
        <v>75</v>
      </c>
      <c r="B11">
        <f>-K6+K8</f>
        <v>-2000</v>
      </c>
      <c r="C11" t="s">
        <v>68</v>
      </c>
      <c r="D11">
        <f>-M6+M8</f>
        <v>2000</v>
      </c>
      <c r="E11" t="s">
        <v>69</v>
      </c>
      <c r="F11" s="8">
        <f t="shared" si="0"/>
        <v>-1</v>
      </c>
      <c r="G11">
        <f>-O6+O8</f>
        <v>-17</v>
      </c>
      <c r="H11">
        <f>-P6+P8</f>
        <v>-1.81</v>
      </c>
    </row>
    <row r="12" spans="1:15" ht="12.75">
      <c r="A12" t="s">
        <v>76</v>
      </c>
      <c r="B12">
        <f>-K6+K9</f>
        <v>1000</v>
      </c>
      <c r="C12" t="s">
        <v>68</v>
      </c>
      <c r="D12">
        <f>-M6+M9</f>
        <v>-1000</v>
      </c>
      <c r="E12" t="s">
        <v>69</v>
      </c>
      <c r="F12" s="8">
        <f t="shared" si="0"/>
        <v>-1</v>
      </c>
      <c r="G12">
        <f>-O6+O9</f>
        <v>160.9</v>
      </c>
      <c r="H12">
        <f>-P6+P9</f>
        <v>23.69</v>
      </c>
      <c r="O12" t="s">
        <v>77</v>
      </c>
    </row>
    <row r="13" spans="1:16" ht="12.75">
      <c r="A13" t="s">
        <v>78</v>
      </c>
      <c r="B13">
        <f>-K7+K5</f>
        <v>-3500</v>
      </c>
      <c r="C13" t="s">
        <v>68</v>
      </c>
      <c r="D13">
        <f>-M7+M5</f>
        <v>1300</v>
      </c>
      <c r="E13" t="s">
        <v>69</v>
      </c>
      <c r="F13" s="8">
        <f t="shared" si="0"/>
        <v>-2.6923076923076925</v>
      </c>
      <c r="G13">
        <f>-O7+O5</f>
        <v>-4.6</v>
      </c>
      <c r="H13">
        <f>-P7+P5</f>
        <v>-1.07</v>
      </c>
      <c r="O13" t="s">
        <v>79</v>
      </c>
      <c r="P13" t="s">
        <v>80</v>
      </c>
    </row>
    <row r="14" spans="1:16" ht="12.75">
      <c r="A14" t="s">
        <v>81</v>
      </c>
      <c r="B14">
        <f>-K7+K6</f>
        <v>-2000</v>
      </c>
      <c r="C14" t="s">
        <v>68</v>
      </c>
      <c r="D14">
        <f>-M7+M6</f>
        <v>-200</v>
      </c>
      <c r="E14" t="s">
        <v>69</v>
      </c>
      <c r="F14" s="8">
        <f t="shared" si="0"/>
        <v>10</v>
      </c>
      <c r="G14">
        <f>-O7+O6</f>
        <v>3.5999999999999996</v>
      </c>
      <c r="H14">
        <f>-P7+P6</f>
        <v>-0.79</v>
      </c>
      <c r="J14" t="s">
        <v>38</v>
      </c>
      <c r="K14">
        <v>100</v>
      </c>
      <c r="L14" t="s">
        <v>82</v>
      </c>
      <c r="M14">
        <v>500</v>
      </c>
      <c r="N14" t="s">
        <v>83</v>
      </c>
      <c r="O14">
        <v>-9.2</v>
      </c>
      <c r="P14">
        <v>-1.7</v>
      </c>
    </row>
    <row r="15" spans="1:16" ht="12.75">
      <c r="A15" t="s">
        <v>84</v>
      </c>
      <c r="B15">
        <f>-K7+K8</f>
        <v>-4000</v>
      </c>
      <c r="C15" t="s">
        <v>68</v>
      </c>
      <c r="D15">
        <f>-M7+M8</f>
        <v>1800</v>
      </c>
      <c r="E15" t="s">
        <v>69</v>
      </c>
      <c r="F15" s="8">
        <f t="shared" si="0"/>
        <v>-2.2222222222222223</v>
      </c>
      <c r="G15">
        <f>-O7+O8</f>
        <v>-13.4</v>
      </c>
      <c r="H15">
        <f>-P7+P8</f>
        <v>-2.6</v>
      </c>
      <c r="J15" t="s">
        <v>39</v>
      </c>
      <c r="K15">
        <v>0</v>
      </c>
      <c r="L15" t="s">
        <v>82</v>
      </c>
      <c r="M15">
        <v>1000</v>
      </c>
      <c r="N15" t="s">
        <v>83</v>
      </c>
      <c r="O15">
        <v>-14.9</v>
      </c>
      <c r="P15">
        <v>-4.6</v>
      </c>
    </row>
    <row r="16" spans="1:16" ht="12.75">
      <c r="A16" t="s">
        <v>85</v>
      </c>
      <c r="B16">
        <f>-K7+K9</f>
        <v>-1000</v>
      </c>
      <c r="C16" t="s">
        <v>68</v>
      </c>
      <c r="D16">
        <f>-M7+M9</f>
        <v>-1200</v>
      </c>
      <c r="E16" t="s">
        <v>69</v>
      </c>
      <c r="F16" s="8">
        <f t="shared" si="0"/>
        <v>0.8333333333333334</v>
      </c>
      <c r="G16">
        <f>-O7+O9</f>
        <v>164.5</v>
      </c>
      <c r="H16">
        <f>-P7+P9</f>
        <v>22.9</v>
      </c>
      <c r="J16" t="s">
        <v>40</v>
      </c>
      <c r="K16">
        <v>50</v>
      </c>
      <c r="L16" t="s">
        <v>82</v>
      </c>
      <c r="M16">
        <v>-500</v>
      </c>
      <c r="N16" t="s">
        <v>83</v>
      </c>
      <c r="O16">
        <v>0.9</v>
      </c>
      <c r="P16">
        <v>0.1</v>
      </c>
    </row>
    <row r="17" spans="1:8" ht="12.75">
      <c r="A17" t="s">
        <v>86</v>
      </c>
      <c r="B17">
        <f>-K8+K5</f>
        <v>500</v>
      </c>
      <c r="C17" t="s">
        <v>68</v>
      </c>
      <c r="D17">
        <f>-M8+M5</f>
        <v>-500</v>
      </c>
      <c r="E17" t="s">
        <v>69</v>
      </c>
      <c r="F17" s="8">
        <f t="shared" si="0"/>
        <v>-1</v>
      </c>
      <c r="G17">
        <f>-O8+O5</f>
        <v>8.8</v>
      </c>
      <c r="H17">
        <f>-P8+P5</f>
        <v>1.53</v>
      </c>
    </row>
    <row r="18" spans="1:8" ht="12.75">
      <c r="A18" t="s">
        <v>87</v>
      </c>
      <c r="B18">
        <f>-K8+K6</f>
        <v>2000</v>
      </c>
      <c r="C18" t="s">
        <v>68</v>
      </c>
      <c r="D18">
        <f>-M8+M6</f>
        <v>-2000</v>
      </c>
      <c r="E18" t="s">
        <v>69</v>
      </c>
      <c r="F18" s="8">
        <f t="shared" si="0"/>
        <v>-1</v>
      </c>
      <c r="G18">
        <f>-O8+O6</f>
        <v>17</v>
      </c>
      <c r="H18">
        <f>-P8+P6</f>
        <v>1.81</v>
      </c>
    </row>
    <row r="19" spans="1:15" ht="12.75">
      <c r="A19" t="s">
        <v>88</v>
      </c>
      <c r="B19">
        <f>-K8+K7</f>
        <v>4000</v>
      </c>
      <c r="C19" t="s">
        <v>68</v>
      </c>
      <c r="D19">
        <f>-M8+M7</f>
        <v>-1800</v>
      </c>
      <c r="E19" t="s">
        <v>69</v>
      </c>
      <c r="F19" s="8">
        <f t="shared" si="0"/>
        <v>-2.2222222222222223</v>
      </c>
      <c r="G19">
        <f>-O8+O7</f>
        <v>13.4</v>
      </c>
      <c r="H19">
        <f>-P8+P7</f>
        <v>2.6</v>
      </c>
      <c r="O19" t="s">
        <v>89</v>
      </c>
    </row>
    <row r="20" spans="1:16" ht="12.75">
      <c r="A20" t="s">
        <v>90</v>
      </c>
      <c r="B20">
        <f>-K8+K9</f>
        <v>3000</v>
      </c>
      <c r="C20" t="s">
        <v>68</v>
      </c>
      <c r="D20">
        <f>-M8+M9</f>
        <v>-3000</v>
      </c>
      <c r="E20" t="s">
        <v>69</v>
      </c>
      <c r="F20" s="8">
        <f t="shared" si="0"/>
        <v>-1</v>
      </c>
      <c r="G20">
        <f>-O8+O9</f>
        <v>177.9</v>
      </c>
      <c r="H20">
        <f>-P8+P9</f>
        <v>25.5</v>
      </c>
      <c r="O20" t="s">
        <v>91</v>
      </c>
      <c r="P20" t="s">
        <v>92</v>
      </c>
    </row>
    <row r="21" spans="1:16" ht="12.75">
      <c r="A21" t="s">
        <v>93</v>
      </c>
      <c r="B21">
        <f>-K9+K5</f>
        <v>-2500</v>
      </c>
      <c r="C21" t="s">
        <v>68</v>
      </c>
      <c r="D21">
        <f>-M9+M5</f>
        <v>2500</v>
      </c>
      <c r="E21" t="s">
        <v>69</v>
      </c>
      <c r="F21" s="8">
        <f t="shared" si="0"/>
        <v>-1</v>
      </c>
      <c r="G21">
        <f>-O9+O5</f>
        <v>-169.1</v>
      </c>
      <c r="H21">
        <f>-P9+P5</f>
        <v>-23.97</v>
      </c>
      <c r="J21" t="s">
        <v>50</v>
      </c>
      <c r="K21">
        <v>50</v>
      </c>
      <c r="L21" t="s">
        <v>94</v>
      </c>
      <c r="M21">
        <v>-50</v>
      </c>
      <c r="N21" t="s">
        <v>95</v>
      </c>
      <c r="O21" s="1">
        <v>2</v>
      </c>
      <c r="P21" s="1">
        <f>0.1*O21*(31/14)/8</f>
        <v>0.05535714285714286</v>
      </c>
    </row>
    <row r="22" spans="1:16" ht="12.75">
      <c r="A22" t="s">
        <v>96</v>
      </c>
      <c r="B22">
        <f>-K9+K6</f>
        <v>-1000</v>
      </c>
      <c r="C22" t="s">
        <v>68</v>
      </c>
      <c r="D22">
        <f>-M9+M6</f>
        <v>1000</v>
      </c>
      <c r="E22" t="s">
        <v>69</v>
      </c>
      <c r="F22" s="8">
        <f t="shared" si="0"/>
        <v>-1</v>
      </c>
      <c r="G22">
        <f>-O9+O6</f>
        <v>-160.9</v>
      </c>
      <c r="H22">
        <f>-P9+P6</f>
        <v>-23.69</v>
      </c>
      <c r="J22" t="s">
        <v>51</v>
      </c>
      <c r="K22">
        <v>150</v>
      </c>
      <c r="L22" t="s">
        <v>94</v>
      </c>
      <c r="M22">
        <v>-100</v>
      </c>
      <c r="N22" t="s">
        <v>95</v>
      </c>
      <c r="O22" s="1">
        <v>5</v>
      </c>
      <c r="P22" s="1">
        <f>O22*(31/14)/8</f>
        <v>1.3839285714285716</v>
      </c>
    </row>
    <row r="23" spans="1:16" ht="12.75">
      <c r="A23" t="s">
        <v>97</v>
      </c>
      <c r="B23">
        <f>-K9+K7</f>
        <v>1000</v>
      </c>
      <c r="C23" t="s">
        <v>68</v>
      </c>
      <c r="D23">
        <f>-M9+M7</f>
        <v>1200</v>
      </c>
      <c r="E23" t="s">
        <v>69</v>
      </c>
      <c r="F23" s="8">
        <f t="shared" si="0"/>
        <v>0.8333333333333334</v>
      </c>
      <c r="G23">
        <f>-O9+O7</f>
        <v>-164.5</v>
      </c>
      <c r="H23">
        <f>-P9+P7</f>
        <v>-22.9</v>
      </c>
      <c r="J23" t="s">
        <v>52</v>
      </c>
      <c r="K23">
        <v>300</v>
      </c>
      <c r="L23" t="s">
        <v>94</v>
      </c>
      <c r="M23">
        <v>-25</v>
      </c>
      <c r="N23" t="s">
        <v>95</v>
      </c>
      <c r="O23" s="1">
        <v>0.3</v>
      </c>
      <c r="P23" s="1">
        <f>0.2*O23*(31/14)/8</f>
        <v>0.01660714285714286</v>
      </c>
    </row>
    <row r="24" spans="1:8" ht="12.75">
      <c r="A24" t="s">
        <v>98</v>
      </c>
      <c r="B24">
        <f>-K9+K8</f>
        <v>-3000</v>
      </c>
      <c r="C24" t="s">
        <v>68</v>
      </c>
      <c r="D24">
        <f>-M9+M8</f>
        <v>3000</v>
      </c>
      <c r="E24" t="s">
        <v>69</v>
      </c>
      <c r="F24" s="8">
        <f t="shared" si="0"/>
        <v>-1</v>
      </c>
      <c r="G24">
        <f>-O9+O8</f>
        <v>-177.9</v>
      </c>
      <c r="H24">
        <f>-P9+P8</f>
        <v>-25.5</v>
      </c>
    </row>
    <row r="25" spans="1:9" ht="12.75">
      <c r="A25" t="s">
        <v>99</v>
      </c>
      <c r="B25">
        <f>-K14+K15</f>
        <v>-100</v>
      </c>
      <c r="C25" t="s">
        <v>82</v>
      </c>
      <c r="D25">
        <f>-M14+M15</f>
        <v>500</v>
      </c>
      <c r="E25" t="s">
        <v>83</v>
      </c>
      <c r="F25" s="8">
        <f t="shared" si="0"/>
        <v>-0.2</v>
      </c>
      <c r="G25">
        <f>-O14+O15</f>
        <v>-5.700000000000001</v>
      </c>
      <c r="H25">
        <f>-P14+P15</f>
        <v>-2.8999999999999995</v>
      </c>
      <c r="I25" t="s">
        <v>100</v>
      </c>
    </row>
    <row r="26" spans="1:9" ht="12.75">
      <c r="A26" t="s">
        <v>101</v>
      </c>
      <c r="B26">
        <f>-K14+K16</f>
        <v>-50</v>
      </c>
      <c r="C26" t="s">
        <v>82</v>
      </c>
      <c r="D26">
        <f>-M14+M16</f>
        <v>-1000</v>
      </c>
      <c r="E26" t="s">
        <v>83</v>
      </c>
      <c r="F26" s="8">
        <f t="shared" si="0"/>
        <v>0.05</v>
      </c>
      <c r="G26">
        <f>-O14+O16</f>
        <v>10.1</v>
      </c>
      <c r="H26">
        <f>-P14+P16</f>
        <v>1.8</v>
      </c>
      <c r="I26" t="s">
        <v>100</v>
      </c>
    </row>
    <row r="27" spans="1:9" ht="12.75">
      <c r="A27" t="s">
        <v>102</v>
      </c>
      <c r="B27">
        <f>-K15+K14</f>
        <v>100</v>
      </c>
      <c r="C27" t="s">
        <v>82</v>
      </c>
      <c r="D27">
        <f>-M15+M14</f>
        <v>-500</v>
      </c>
      <c r="E27" t="s">
        <v>83</v>
      </c>
      <c r="F27" s="8">
        <f t="shared" si="0"/>
        <v>-0.2</v>
      </c>
      <c r="G27">
        <f>-O15+O14</f>
        <v>5.700000000000001</v>
      </c>
      <c r="H27">
        <f>-P15+P14</f>
        <v>2.8999999999999995</v>
      </c>
      <c r="I27" t="s">
        <v>100</v>
      </c>
    </row>
    <row r="28" spans="1:9" ht="12.75">
      <c r="A28" t="s">
        <v>103</v>
      </c>
      <c r="B28">
        <f>-K15+K16</f>
        <v>50</v>
      </c>
      <c r="C28" t="s">
        <v>82</v>
      </c>
      <c r="D28">
        <f>-M15+M16</f>
        <v>-1500</v>
      </c>
      <c r="E28" t="s">
        <v>83</v>
      </c>
      <c r="F28" s="8">
        <f t="shared" si="0"/>
        <v>-0.03333333333333333</v>
      </c>
      <c r="G28">
        <f>-O15+O16</f>
        <v>15.8</v>
      </c>
      <c r="H28">
        <f>-P15+P16</f>
        <v>4.699999999999999</v>
      </c>
      <c r="I28" t="s">
        <v>100</v>
      </c>
    </row>
    <row r="29" spans="1:9" ht="12.75">
      <c r="A29" t="s">
        <v>104</v>
      </c>
      <c r="B29">
        <f>-K16+K14</f>
        <v>50</v>
      </c>
      <c r="C29" t="s">
        <v>82</v>
      </c>
      <c r="D29">
        <f>-M16+M14</f>
        <v>1000</v>
      </c>
      <c r="E29" t="s">
        <v>83</v>
      </c>
      <c r="F29" s="8">
        <f t="shared" si="0"/>
        <v>0.05</v>
      </c>
      <c r="G29">
        <f>-O16+O14</f>
        <v>-10.1</v>
      </c>
      <c r="H29">
        <f>-P16+P14</f>
        <v>-1.8</v>
      </c>
      <c r="I29" t="s">
        <v>100</v>
      </c>
    </row>
    <row r="30" spans="1:9" ht="12.75">
      <c r="A30" t="s">
        <v>105</v>
      </c>
      <c r="B30">
        <f>-K16+K15</f>
        <v>-50</v>
      </c>
      <c r="C30" t="s">
        <v>82</v>
      </c>
      <c r="D30">
        <f>-M16+M15</f>
        <v>1500</v>
      </c>
      <c r="E30" t="s">
        <v>83</v>
      </c>
      <c r="F30" s="8">
        <f t="shared" si="0"/>
        <v>-0.03333333333333333</v>
      </c>
      <c r="G30">
        <f>-O16+O15</f>
        <v>-15.8</v>
      </c>
      <c r="H30">
        <f>-P16+P15</f>
        <v>-4.699999999999999</v>
      </c>
      <c r="I30" t="s">
        <v>100</v>
      </c>
    </row>
    <row r="31" spans="1:9" ht="12.75">
      <c r="A31" t="s">
        <v>106</v>
      </c>
      <c r="B31">
        <f>-K21-K22</f>
        <v>-200</v>
      </c>
      <c r="C31" t="s">
        <v>94</v>
      </c>
      <c r="D31">
        <f>-M21+M22</f>
        <v>-50</v>
      </c>
      <c r="E31" t="s">
        <v>95</v>
      </c>
      <c r="F31" s="8">
        <f t="shared" si="0"/>
        <v>4</v>
      </c>
      <c r="G31" s="12">
        <f>-O21+O22</f>
        <v>3</v>
      </c>
      <c r="H31" s="10">
        <f>-P21+P22</f>
        <v>1.3285714285714287</v>
      </c>
      <c r="I31" t="s">
        <v>107</v>
      </c>
    </row>
    <row r="32" spans="1:9" ht="12.75">
      <c r="A32" t="s">
        <v>108</v>
      </c>
      <c r="B32">
        <f>-K21-K23</f>
        <v>-350</v>
      </c>
      <c r="C32" t="s">
        <v>94</v>
      </c>
      <c r="D32">
        <f>-M21+M23</f>
        <v>25</v>
      </c>
      <c r="E32" t="s">
        <v>95</v>
      </c>
      <c r="F32" s="8">
        <f t="shared" si="0"/>
        <v>-14</v>
      </c>
      <c r="G32" s="12">
        <f>-O21+O23</f>
        <v>-1.7</v>
      </c>
      <c r="H32" s="10">
        <f>-P21+P23</f>
        <v>-0.03875000000000001</v>
      </c>
      <c r="I32" t="s">
        <v>107</v>
      </c>
    </row>
    <row r="33" spans="1:9" ht="12.75">
      <c r="A33" t="s">
        <v>109</v>
      </c>
      <c r="B33">
        <f>-K22-K21</f>
        <v>-200</v>
      </c>
      <c r="C33" t="s">
        <v>94</v>
      </c>
      <c r="D33">
        <f>-M22+M21</f>
        <v>50</v>
      </c>
      <c r="E33" t="s">
        <v>95</v>
      </c>
      <c r="F33" s="8">
        <f t="shared" si="0"/>
        <v>-4</v>
      </c>
      <c r="G33" s="12">
        <f>-O22+O21</f>
        <v>-3</v>
      </c>
      <c r="H33" s="10">
        <f>-P22+P21</f>
        <v>-1.3285714285714287</v>
      </c>
      <c r="I33" t="s">
        <v>107</v>
      </c>
    </row>
    <row r="34" spans="1:9" ht="12.75">
      <c r="A34" t="s">
        <v>110</v>
      </c>
      <c r="B34">
        <f>K22-K23</f>
        <v>-150</v>
      </c>
      <c r="C34" t="s">
        <v>94</v>
      </c>
      <c r="D34">
        <f>-M22+M23</f>
        <v>75</v>
      </c>
      <c r="E34" t="s">
        <v>95</v>
      </c>
      <c r="F34" s="8">
        <f t="shared" si="0"/>
        <v>-2</v>
      </c>
      <c r="G34" s="12">
        <f>-O22+O23</f>
        <v>-4.7</v>
      </c>
      <c r="H34" s="10">
        <f>-P22+P23</f>
        <v>-1.3673214285714288</v>
      </c>
      <c r="I34" t="s">
        <v>107</v>
      </c>
    </row>
    <row r="35" spans="1:9" ht="12.75">
      <c r="A35" t="s">
        <v>111</v>
      </c>
      <c r="B35">
        <f>-K23-K21</f>
        <v>-350</v>
      </c>
      <c r="C35" t="s">
        <v>94</v>
      </c>
      <c r="D35">
        <f>-M23+M21</f>
        <v>-25</v>
      </c>
      <c r="E35" t="s">
        <v>95</v>
      </c>
      <c r="F35" s="8">
        <f t="shared" si="0"/>
        <v>14</v>
      </c>
      <c r="G35" s="12">
        <f>-O23+O21</f>
        <v>1.7</v>
      </c>
      <c r="H35" s="10">
        <f>-P23+P21</f>
        <v>0.03875000000000001</v>
      </c>
      <c r="I35" t="s">
        <v>107</v>
      </c>
    </row>
    <row r="36" spans="1:9" ht="12.75">
      <c r="A36" t="s">
        <v>112</v>
      </c>
      <c r="B36">
        <f>-K23+K22</f>
        <v>-150</v>
      </c>
      <c r="C36" t="s">
        <v>94</v>
      </c>
      <c r="D36">
        <f>-M23+M22</f>
        <v>-75</v>
      </c>
      <c r="E36" t="s">
        <v>95</v>
      </c>
      <c r="F36" s="8">
        <f t="shared" si="0"/>
        <v>2</v>
      </c>
      <c r="G36" s="12">
        <f>-O23+O22</f>
        <v>4.7</v>
      </c>
      <c r="H36" s="10">
        <f>-P23+P22</f>
        <v>1.3673214285714288</v>
      </c>
      <c r="I36" t="s">
        <v>107</v>
      </c>
    </row>
  </sheetData>
  <sheetProtection sheet="1"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GIS</cp:lastModifiedBy>
  <dcterms:created xsi:type="dcterms:W3CDTF">2005-08-22T19:45:50Z</dcterms:created>
  <dcterms:modified xsi:type="dcterms:W3CDTF">2005-08-22T19:45:50Z</dcterms:modified>
  <cp:category/>
  <cp:version/>
  <cp:contentType/>
  <cp:contentStatus/>
</cp:coreProperties>
</file>